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75" activeTab="0"/>
  </bookViews>
  <sheets>
    <sheet name="Year by Year summary" sheetId="1" r:id="rId1"/>
    <sheet name="2015 2016" sheetId="2" r:id="rId2"/>
    <sheet name="2016 2017" sheetId="3" r:id="rId3"/>
    <sheet name="2017 2018" sheetId="4" r:id="rId4"/>
  </sheets>
  <definedNames/>
  <calcPr fullCalcOnLoad="1"/>
</workbook>
</file>

<file path=xl/sharedStrings.xml><?xml version="1.0" encoding="utf-8"?>
<sst xmlns="http://schemas.openxmlformats.org/spreadsheetml/2006/main" count="131" uniqueCount="27">
  <si>
    <t>Jan - Mar 2004</t>
  </si>
  <si>
    <t>Black</t>
  </si>
  <si>
    <t>Brown-capped</t>
  </si>
  <si>
    <t>Totals</t>
  </si>
  <si>
    <t>2004 2005</t>
  </si>
  <si>
    <t>2005 2006</t>
  </si>
  <si>
    <t>2006 2007</t>
  </si>
  <si>
    <t>2007 2008</t>
  </si>
  <si>
    <t>2008 2009</t>
  </si>
  <si>
    <t>2009 2010</t>
  </si>
  <si>
    <t>2010 2011</t>
  </si>
  <si>
    <t xml:space="preserve"> </t>
  </si>
  <si>
    <t>Gray-crowned (I)</t>
  </si>
  <si>
    <t>Gray-crowned (H)</t>
  </si>
  <si>
    <t>Species</t>
  </si>
  <si>
    <t>% all seasons</t>
  </si>
  <si>
    <t>2011 2012</t>
  </si>
  <si>
    <t>2012 2013</t>
  </si>
  <si>
    <t>2013  2014</t>
  </si>
  <si>
    <t>Gray-crowned</t>
  </si>
  <si>
    <t>Percentage</t>
  </si>
  <si>
    <t>2014 2015</t>
  </si>
  <si>
    <t>2015   2016</t>
  </si>
  <si>
    <t>Subtotals</t>
  </si>
  <si>
    <t>2016  2017</t>
  </si>
  <si>
    <t>%</t>
  </si>
  <si>
    <t>2017  2018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</si>
</sst>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ill="1" applyBorder="1" applyAlignment="1">
      <alignment horizontal="center" wrapText="1"/>
    </xf>
    <xf numFmtId="2" fontId="0" fillId="0" borderId="10" xfId="0" applyNumberFormat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16" fontId="0" fillId="0" borderId="10" xfId="0" applyNumberFormat="1" applyBorder="1" applyAlignment="1">
      <alignment horizontal="center" wrapText="1"/>
    </xf>
    <xf numFmtId="16" fontId="0" fillId="0" borderId="10" xfId="0" applyNumberFormat="1" applyBorder="1" applyAlignment="1">
      <alignment horizontal="center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16" fontId="0" fillId="0" borderId="10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S32"/>
  <sheetViews>
    <sheetView tabSelected="1" view="pageLayout" workbookViewId="0" topLeftCell="A3">
      <selection activeCell="P16" sqref="P16"/>
    </sheetView>
  </sheetViews>
  <sheetFormatPr defaultColWidth="9.140625" defaultRowHeight="12.75"/>
  <cols>
    <col min="1" max="1" width="15.7109375" style="0" bestFit="1" customWidth="1"/>
    <col min="3" max="5" width="5.57421875" style="0" bestFit="1" customWidth="1"/>
    <col min="6" max="16" width="5.28125" style="0" customWidth="1"/>
  </cols>
  <sheetData>
    <row r="4" spans="1:18" ht="25.5">
      <c r="A4" s="1" t="s">
        <v>14</v>
      </c>
      <c r="B4" s="2" t="s">
        <v>0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8" t="s">
        <v>16</v>
      </c>
      <c r="K4" s="8" t="s">
        <v>17</v>
      </c>
      <c r="L4" s="8" t="s">
        <v>18</v>
      </c>
      <c r="M4" s="8" t="s">
        <v>21</v>
      </c>
      <c r="N4" s="8" t="s">
        <v>22</v>
      </c>
      <c r="O4" s="8" t="s">
        <v>24</v>
      </c>
      <c r="P4" s="8" t="s">
        <v>26</v>
      </c>
      <c r="Q4" s="1" t="s">
        <v>3</v>
      </c>
      <c r="R4" s="5" t="s">
        <v>15</v>
      </c>
    </row>
    <row r="5" spans="1:18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2.75">
      <c r="A6" s="3" t="s">
        <v>1</v>
      </c>
      <c r="B6" s="3">
        <v>22</v>
      </c>
      <c r="C6" s="3">
        <v>34</v>
      </c>
      <c r="D6" s="3">
        <v>221</v>
      </c>
      <c r="E6" s="3">
        <v>575</v>
      </c>
      <c r="F6" s="3">
        <v>71</v>
      </c>
      <c r="G6" s="3">
        <v>63</v>
      </c>
      <c r="H6" s="3">
        <v>48</v>
      </c>
      <c r="I6" s="3">
        <v>197</v>
      </c>
      <c r="J6" s="3">
        <v>38</v>
      </c>
      <c r="K6" s="3">
        <v>67</v>
      </c>
      <c r="L6" s="3">
        <v>5</v>
      </c>
      <c r="M6" s="3">
        <v>29</v>
      </c>
      <c r="N6" s="3">
        <v>56</v>
      </c>
      <c r="O6" s="3">
        <v>33</v>
      </c>
      <c r="P6" s="3">
        <v>106</v>
      </c>
      <c r="Q6" s="3">
        <f>+SUM(B6:P6)</f>
        <v>1565</v>
      </c>
      <c r="R6" s="6">
        <f>+Q6/Q11*100</f>
        <v>50.64724919093852</v>
      </c>
    </row>
    <row r="7" spans="1:18" ht="12.75">
      <c r="A7" s="3" t="s">
        <v>2</v>
      </c>
      <c r="B7" s="3"/>
      <c r="C7" s="3">
        <v>50</v>
      </c>
      <c r="D7" s="3">
        <v>47</v>
      </c>
      <c r="E7" s="3">
        <v>8</v>
      </c>
      <c r="F7" s="3">
        <v>294</v>
      </c>
      <c r="G7" s="3">
        <v>168</v>
      </c>
      <c r="H7" s="3">
        <v>58</v>
      </c>
      <c r="I7" s="3">
        <v>13</v>
      </c>
      <c r="J7" s="3">
        <v>18</v>
      </c>
      <c r="K7" s="3">
        <v>21</v>
      </c>
      <c r="L7" s="3">
        <v>3</v>
      </c>
      <c r="M7" s="3">
        <v>6</v>
      </c>
      <c r="N7" s="3">
        <v>27</v>
      </c>
      <c r="O7" s="3">
        <v>197</v>
      </c>
      <c r="P7" s="3">
        <v>34</v>
      </c>
      <c r="Q7" s="3">
        <f>+SUM(B7:P7)</f>
        <v>944</v>
      </c>
      <c r="R7" s="6">
        <f>+Q7/Q11*100</f>
        <v>30.550161812297734</v>
      </c>
    </row>
    <row r="8" spans="1:18" ht="12.75">
      <c r="A8" s="3" t="s">
        <v>12</v>
      </c>
      <c r="B8" s="3">
        <v>7</v>
      </c>
      <c r="C8" s="3">
        <v>13</v>
      </c>
      <c r="D8" s="3">
        <v>25</v>
      </c>
      <c r="E8" s="3">
        <v>87</v>
      </c>
      <c r="F8" s="3">
        <v>69</v>
      </c>
      <c r="G8" s="3">
        <v>37</v>
      </c>
      <c r="H8" s="3">
        <v>8</v>
      </c>
      <c r="I8" s="3">
        <v>32</v>
      </c>
      <c r="J8" s="3">
        <v>2</v>
      </c>
      <c r="K8" s="3">
        <v>14</v>
      </c>
      <c r="L8" s="3"/>
      <c r="M8" s="3">
        <v>3</v>
      </c>
      <c r="N8" s="3">
        <v>82</v>
      </c>
      <c r="O8" s="3">
        <v>11</v>
      </c>
      <c r="P8" s="3">
        <v>15</v>
      </c>
      <c r="Q8" s="3">
        <f>+SUM(B8:P8)</f>
        <v>405</v>
      </c>
      <c r="R8" s="6">
        <f>+Q8/Q11*100</f>
        <v>13.106796116504855</v>
      </c>
    </row>
    <row r="9" spans="1:18" ht="12.75">
      <c r="A9" s="3" t="s">
        <v>13</v>
      </c>
      <c r="B9" s="3"/>
      <c r="C9" s="3"/>
      <c r="D9" s="3">
        <v>5</v>
      </c>
      <c r="E9" s="3">
        <v>104</v>
      </c>
      <c r="F9" s="3">
        <v>29</v>
      </c>
      <c r="G9" s="3">
        <v>7</v>
      </c>
      <c r="H9" s="3"/>
      <c r="I9" s="3">
        <v>13</v>
      </c>
      <c r="J9" s="3"/>
      <c r="K9" s="3"/>
      <c r="L9" s="3"/>
      <c r="M9" s="3">
        <v>1</v>
      </c>
      <c r="N9" s="3">
        <v>10</v>
      </c>
      <c r="O9" s="3">
        <v>3</v>
      </c>
      <c r="P9" s="3">
        <v>4</v>
      </c>
      <c r="Q9" s="3">
        <f>+SUM(B9:P9)</f>
        <v>176</v>
      </c>
      <c r="R9" s="6">
        <f>+Q9/Q11*100</f>
        <v>5.6957928802589</v>
      </c>
    </row>
    <row r="10" spans="1:18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2.75">
      <c r="A11" s="3" t="s">
        <v>3</v>
      </c>
      <c r="B11" s="4">
        <f>SUM(B6:B10)</f>
        <v>29</v>
      </c>
      <c r="C11" s="4">
        <f>SUM(C6:C10)</f>
        <v>97</v>
      </c>
      <c r="D11" s="4">
        <f>SUM(D6:D10)</f>
        <v>298</v>
      </c>
      <c r="E11" s="4">
        <f aca="true" t="shared" si="0" ref="E11:Q11">SUM(E6:E10)</f>
        <v>774</v>
      </c>
      <c r="F11" s="4">
        <f t="shared" si="0"/>
        <v>463</v>
      </c>
      <c r="G11" s="4">
        <f t="shared" si="0"/>
        <v>275</v>
      </c>
      <c r="H11" s="4">
        <f t="shared" si="0"/>
        <v>114</v>
      </c>
      <c r="I11" s="4">
        <f t="shared" si="0"/>
        <v>255</v>
      </c>
      <c r="J11" s="4">
        <f t="shared" si="0"/>
        <v>58</v>
      </c>
      <c r="K11" s="4">
        <f t="shared" si="0"/>
        <v>102</v>
      </c>
      <c r="L11" s="4">
        <f t="shared" si="0"/>
        <v>8</v>
      </c>
      <c r="M11" s="4">
        <f t="shared" si="0"/>
        <v>39</v>
      </c>
      <c r="N11" s="4">
        <f t="shared" si="0"/>
        <v>175</v>
      </c>
      <c r="O11" s="4">
        <f t="shared" si="0"/>
        <v>244</v>
      </c>
      <c r="P11" s="4">
        <f t="shared" si="0"/>
        <v>159</v>
      </c>
      <c r="Q11" s="4">
        <f t="shared" si="0"/>
        <v>3090</v>
      </c>
      <c r="R11" s="7">
        <f>+SUM(R6:R9)</f>
        <v>100.00000000000001</v>
      </c>
    </row>
    <row r="13" ht="12.75">
      <c r="S13" t="s">
        <v>11</v>
      </c>
    </row>
    <row r="16" spans="1:18" ht="25.5">
      <c r="A16" s="1" t="s">
        <v>14</v>
      </c>
      <c r="B16" s="2" t="s">
        <v>0</v>
      </c>
      <c r="C16" s="2" t="s">
        <v>4</v>
      </c>
      <c r="D16" s="2" t="s">
        <v>5</v>
      </c>
      <c r="E16" s="2" t="s">
        <v>6</v>
      </c>
      <c r="F16" s="2" t="s">
        <v>7</v>
      </c>
      <c r="G16" s="2" t="s">
        <v>8</v>
      </c>
      <c r="H16" s="2" t="s">
        <v>9</v>
      </c>
      <c r="I16" s="2" t="s">
        <v>10</v>
      </c>
      <c r="J16" s="8" t="s">
        <v>16</v>
      </c>
      <c r="K16" s="8" t="s">
        <v>17</v>
      </c>
      <c r="L16" s="8" t="s">
        <v>18</v>
      </c>
      <c r="M16" s="8" t="s">
        <v>21</v>
      </c>
      <c r="N16" s="8" t="s">
        <v>22</v>
      </c>
      <c r="O16" s="8" t="s">
        <v>24</v>
      </c>
      <c r="P16" s="8" t="s">
        <v>26</v>
      </c>
      <c r="Q16" s="1" t="s">
        <v>3</v>
      </c>
      <c r="R16" s="5" t="s">
        <v>15</v>
      </c>
    </row>
    <row r="17" spans="1:18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3" t="s">
        <v>1</v>
      </c>
      <c r="B18" s="3">
        <v>22</v>
      </c>
      <c r="C18" s="3">
        <v>34</v>
      </c>
      <c r="D18" s="3">
        <v>221</v>
      </c>
      <c r="E18" s="3">
        <v>575</v>
      </c>
      <c r="F18" s="3">
        <v>71</v>
      </c>
      <c r="G18" s="3">
        <v>63</v>
      </c>
      <c r="H18" s="3">
        <v>48</v>
      </c>
      <c r="I18" s="3">
        <v>197</v>
      </c>
      <c r="J18" s="3">
        <v>38</v>
      </c>
      <c r="K18" s="3">
        <v>67</v>
      </c>
      <c r="L18" s="3">
        <v>5</v>
      </c>
      <c r="M18" s="3">
        <v>29</v>
      </c>
      <c r="N18" s="3">
        <v>56</v>
      </c>
      <c r="O18" s="3">
        <v>33</v>
      </c>
      <c r="P18" s="3">
        <v>106</v>
      </c>
      <c r="Q18" s="3">
        <f>+SUM(B18:P18)</f>
        <v>1565</v>
      </c>
      <c r="R18" s="6">
        <f>+Q18/Q22*100</f>
        <v>50.64724919093852</v>
      </c>
    </row>
    <row r="19" spans="1:18" ht="12.75">
      <c r="A19" s="3" t="s">
        <v>2</v>
      </c>
      <c r="B19" s="3"/>
      <c r="C19" s="3">
        <v>50</v>
      </c>
      <c r="D19" s="3">
        <v>47</v>
      </c>
      <c r="E19" s="3">
        <v>8</v>
      </c>
      <c r="F19" s="3">
        <v>294</v>
      </c>
      <c r="G19" s="3">
        <v>168</v>
      </c>
      <c r="H19" s="3">
        <v>58</v>
      </c>
      <c r="I19" s="3">
        <v>13</v>
      </c>
      <c r="J19" s="3">
        <v>18</v>
      </c>
      <c r="K19" s="3">
        <v>21</v>
      </c>
      <c r="L19" s="3">
        <v>3</v>
      </c>
      <c r="M19" s="3">
        <v>6</v>
      </c>
      <c r="N19" s="3">
        <v>27</v>
      </c>
      <c r="O19" s="3">
        <v>197</v>
      </c>
      <c r="P19" s="3">
        <v>34</v>
      </c>
      <c r="Q19" s="3">
        <f>+SUM(B19:P19)</f>
        <v>944</v>
      </c>
      <c r="R19" s="6">
        <f>+Q19/Q22*100</f>
        <v>30.550161812297734</v>
      </c>
    </row>
    <row r="20" spans="1:18" ht="12.75">
      <c r="A20" s="9" t="s">
        <v>19</v>
      </c>
      <c r="B20" s="3">
        <v>7</v>
      </c>
      <c r="C20" s="3">
        <v>13</v>
      </c>
      <c r="D20" s="3">
        <v>30</v>
      </c>
      <c r="E20" s="3">
        <v>191</v>
      </c>
      <c r="F20" s="3">
        <v>98</v>
      </c>
      <c r="G20" s="3">
        <v>44</v>
      </c>
      <c r="H20" s="3">
        <v>8</v>
      </c>
      <c r="I20" s="3">
        <v>45</v>
      </c>
      <c r="J20" s="3">
        <v>2</v>
      </c>
      <c r="K20" s="3">
        <v>14</v>
      </c>
      <c r="L20" s="3"/>
      <c r="M20" s="3">
        <v>4</v>
      </c>
      <c r="N20" s="3">
        <v>92</v>
      </c>
      <c r="O20" s="3">
        <v>14</v>
      </c>
      <c r="P20" s="3">
        <v>19</v>
      </c>
      <c r="Q20" s="3">
        <f>+SUM(B20:P20)</f>
        <v>581</v>
      </c>
      <c r="R20" s="6">
        <f>+Q20/Q22*100</f>
        <v>18.802588996763753</v>
      </c>
    </row>
    <row r="21" spans="1:18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2.75">
      <c r="A22" s="3" t="s">
        <v>3</v>
      </c>
      <c r="B22" s="4">
        <f aca="true" t="shared" si="1" ref="B22:Q22">SUM(B18:B21)</f>
        <v>29</v>
      </c>
      <c r="C22" s="4">
        <f t="shared" si="1"/>
        <v>97</v>
      </c>
      <c r="D22" s="4">
        <f t="shared" si="1"/>
        <v>298</v>
      </c>
      <c r="E22" s="4">
        <f t="shared" si="1"/>
        <v>774</v>
      </c>
      <c r="F22" s="4">
        <f t="shared" si="1"/>
        <v>463</v>
      </c>
      <c r="G22" s="4">
        <f t="shared" si="1"/>
        <v>275</v>
      </c>
      <c r="H22" s="4">
        <f t="shared" si="1"/>
        <v>114</v>
      </c>
      <c r="I22" s="4">
        <f t="shared" si="1"/>
        <v>255</v>
      </c>
      <c r="J22" s="4">
        <f t="shared" si="1"/>
        <v>58</v>
      </c>
      <c r="K22" s="4">
        <f t="shared" si="1"/>
        <v>102</v>
      </c>
      <c r="L22" s="4">
        <f t="shared" si="1"/>
        <v>8</v>
      </c>
      <c r="M22" s="4">
        <f t="shared" si="1"/>
        <v>39</v>
      </c>
      <c r="N22" s="4">
        <f t="shared" si="1"/>
        <v>175</v>
      </c>
      <c r="O22" s="4">
        <f t="shared" si="1"/>
        <v>244</v>
      </c>
      <c r="P22" s="4">
        <f t="shared" si="1"/>
        <v>159</v>
      </c>
      <c r="Q22" s="4">
        <f t="shared" si="1"/>
        <v>3090</v>
      </c>
      <c r="R22" s="7">
        <f>+SUM(R18:R20)</f>
        <v>100</v>
      </c>
    </row>
    <row r="23" ht="12.75">
      <c r="C23" t="s">
        <v>11</v>
      </c>
    </row>
    <row r="25" ht="12.75">
      <c r="A25" s="14" t="s">
        <v>20</v>
      </c>
    </row>
    <row r="26" spans="1:18" ht="25.5">
      <c r="A26" s="1" t="s">
        <v>14</v>
      </c>
      <c r="B26" s="2" t="s">
        <v>0</v>
      </c>
      <c r="C26" s="2" t="s">
        <v>4</v>
      </c>
      <c r="D26" s="2" t="s">
        <v>5</v>
      </c>
      <c r="E26" s="2" t="s">
        <v>6</v>
      </c>
      <c r="F26" s="2" t="s">
        <v>7</v>
      </c>
      <c r="G26" s="2" t="s">
        <v>8</v>
      </c>
      <c r="H26" s="2" t="s">
        <v>9</v>
      </c>
      <c r="I26" s="2" t="s">
        <v>10</v>
      </c>
      <c r="J26" s="8" t="s">
        <v>16</v>
      </c>
      <c r="K26" s="8" t="s">
        <v>17</v>
      </c>
      <c r="L26" s="8" t="s">
        <v>18</v>
      </c>
      <c r="M26" s="8" t="s">
        <v>21</v>
      </c>
      <c r="N26" s="8" t="s">
        <v>22</v>
      </c>
      <c r="O26" s="8" t="s">
        <v>24</v>
      </c>
      <c r="P26" s="8" t="s">
        <v>26</v>
      </c>
      <c r="Q26" s="1" t="s">
        <v>3</v>
      </c>
      <c r="R26" s="5" t="s">
        <v>15</v>
      </c>
    </row>
    <row r="27" spans="1:18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9" ht="12.75">
      <c r="A28" s="3" t="s">
        <v>1</v>
      </c>
      <c r="B28" s="10">
        <f>22/29*100</f>
        <v>75.86206896551724</v>
      </c>
      <c r="C28" s="10">
        <f>34/97*100</f>
        <v>35.051546391752574</v>
      </c>
      <c r="D28" s="10">
        <f>221/298*100</f>
        <v>74.16107382550335</v>
      </c>
      <c r="E28" s="10">
        <f>575/774*100</f>
        <v>74.28940568475451</v>
      </c>
      <c r="F28" s="10">
        <f>0.153347732181425*100</f>
        <v>15.334773218142548</v>
      </c>
      <c r="G28" s="10">
        <f>0.229090909090909*100</f>
        <v>22.90909090909091</v>
      </c>
      <c r="H28" s="10">
        <f>0.421052631578947*100</f>
        <v>42.10526315789473</v>
      </c>
      <c r="I28" s="10">
        <f>0.772549019607843*100</f>
        <v>77.25490196078432</v>
      </c>
      <c r="J28" s="10">
        <f>0.655172413793103*100</f>
        <v>65.51724137931035</v>
      </c>
      <c r="K28" s="10">
        <f>0.656862745098039*100</f>
        <v>65.68627450980392</v>
      </c>
      <c r="L28" s="10">
        <f>0.625*100</f>
        <v>62.5</v>
      </c>
      <c r="M28" s="10">
        <f>0.743589743589744*100</f>
        <v>74.35897435897436</v>
      </c>
      <c r="N28" s="10">
        <f>+N6/N11*100</f>
        <v>32</v>
      </c>
      <c r="O28" s="10">
        <f>+O6/O11*100</f>
        <v>13.524590163934427</v>
      </c>
      <c r="P28" s="10">
        <f>+P6/P11*100</f>
        <v>66.66666666666666</v>
      </c>
      <c r="Q28" s="10">
        <f>+Q18</f>
        <v>1565</v>
      </c>
      <c r="R28" s="6">
        <f>+Q28/Q32*100</f>
        <v>50.64724919093852</v>
      </c>
      <c r="S28" t="s">
        <v>11</v>
      </c>
    </row>
    <row r="29" spans="1:19" ht="12.75">
      <c r="A29" s="3" t="s">
        <v>2</v>
      </c>
      <c r="B29" s="10"/>
      <c r="C29" s="10">
        <f>50/97*100</f>
        <v>51.546391752577314</v>
      </c>
      <c r="D29" s="10">
        <f>47/298*100</f>
        <v>15.771812080536913</v>
      </c>
      <c r="E29" s="10">
        <f>8/774*100</f>
        <v>1.03359173126615</v>
      </c>
      <c r="F29" s="11">
        <f>0.634989200863931*100</f>
        <v>63.498920086393085</v>
      </c>
      <c r="G29" s="10">
        <f>0.610909090909091*100</f>
        <v>61.09090909090909</v>
      </c>
      <c r="H29" s="10">
        <f>0.508771929824561*100</f>
        <v>50.877192982456144</v>
      </c>
      <c r="I29" s="10">
        <f>0.0509803921568627*100</f>
        <v>5.098039215686274</v>
      </c>
      <c r="J29" s="10">
        <f>0.310344827586207*100</f>
        <v>31.03448275862069</v>
      </c>
      <c r="K29" s="10">
        <f>0.205882352941176*100</f>
        <v>20.588235294117645</v>
      </c>
      <c r="L29" s="10">
        <f>0.375*100</f>
        <v>37.5</v>
      </c>
      <c r="M29" s="10">
        <f>0.153846153846154*100</f>
        <v>15.384615384615385</v>
      </c>
      <c r="N29" s="10">
        <f>+N7/N11*100</f>
        <v>15.428571428571427</v>
      </c>
      <c r="O29" s="10">
        <f>+O7/O11*100</f>
        <v>80.73770491803278</v>
      </c>
      <c r="P29" s="10">
        <f>+P7/P11*100</f>
        <v>21.38364779874214</v>
      </c>
      <c r="Q29" s="10">
        <f>+Q19</f>
        <v>944</v>
      </c>
      <c r="R29" s="6">
        <f>+Q29/Q32*100</f>
        <v>30.550161812297734</v>
      </c>
      <c r="S29" t="s">
        <v>11</v>
      </c>
    </row>
    <row r="30" spans="1:19" ht="12.75">
      <c r="A30" s="9" t="s">
        <v>19</v>
      </c>
      <c r="B30" s="10">
        <f>7/29*100</f>
        <v>24.137931034482758</v>
      </c>
      <c r="C30" s="10">
        <f>13/97*100</f>
        <v>13.402061855670103</v>
      </c>
      <c r="D30" s="10">
        <f>30/298*100</f>
        <v>10.06711409395973</v>
      </c>
      <c r="E30" s="10">
        <f>191/774*100</f>
        <v>24.67700258397933</v>
      </c>
      <c r="F30" s="10">
        <f>0.211663066954644*100</f>
        <v>21.166306695464364</v>
      </c>
      <c r="G30" s="10">
        <f>0.16*100</f>
        <v>16</v>
      </c>
      <c r="H30" s="10">
        <f>0.0701754385964912*100</f>
        <v>7.017543859649122</v>
      </c>
      <c r="I30" s="10">
        <f>0.176470588235294*100</f>
        <v>17.647058823529413</v>
      </c>
      <c r="J30" s="10">
        <f>0.0344827586206897*100</f>
        <v>3.4482758620689653</v>
      </c>
      <c r="K30" s="10">
        <f>0.137254901960784*100</f>
        <v>13.725490196078432</v>
      </c>
      <c r="L30" s="10"/>
      <c r="M30" s="10">
        <f>0.102564102564103*100</f>
        <v>10.256410256410255</v>
      </c>
      <c r="N30" s="10">
        <f>+N20/N22*100</f>
        <v>52.57142857142857</v>
      </c>
      <c r="O30" s="10">
        <f>+O20/O22*100</f>
        <v>5.737704918032787</v>
      </c>
      <c r="P30" s="10">
        <f>+P20/P22*100</f>
        <v>11.949685534591195</v>
      </c>
      <c r="Q30" s="10">
        <f>+Q20</f>
        <v>581</v>
      </c>
      <c r="R30" s="6">
        <f>+Q30/Q32*100</f>
        <v>18.802588996763753</v>
      </c>
      <c r="S30" t="s">
        <v>11</v>
      </c>
    </row>
    <row r="31" spans="1:18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2.75">
      <c r="A32" s="3" t="s">
        <v>3</v>
      </c>
      <c r="B32" s="4">
        <f aca="true" t="shared" si="2" ref="B32:Q32">SUM(B28:B31)</f>
        <v>100</v>
      </c>
      <c r="C32" s="4">
        <f t="shared" si="2"/>
        <v>99.99999999999999</v>
      </c>
      <c r="D32" s="4">
        <f t="shared" si="2"/>
        <v>100</v>
      </c>
      <c r="E32" s="4">
        <f t="shared" si="2"/>
        <v>100</v>
      </c>
      <c r="F32" s="4">
        <f t="shared" si="2"/>
        <v>100</v>
      </c>
      <c r="G32" s="4">
        <f t="shared" si="2"/>
        <v>100</v>
      </c>
      <c r="H32" s="4">
        <f t="shared" si="2"/>
        <v>100</v>
      </c>
      <c r="I32" s="4">
        <f t="shared" si="2"/>
        <v>100</v>
      </c>
      <c r="J32" s="4">
        <f t="shared" si="2"/>
        <v>100.00000000000001</v>
      </c>
      <c r="K32" s="4">
        <f t="shared" si="2"/>
        <v>100</v>
      </c>
      <c r="L32" s="4">
        <f t="shared" si="2"/>
        <v>100</v>
      </c>
      <c r="M32" s="4">
        <f t="shared" si="2"/>
        <v>100</v>
      </c>
      <c r="N32" s="4">
        <f t="shared" si="2"/>
        <v>100</v>
      </c>
      <c r="O32" s="4">
        <f t="shared" si="2"/>
        <v>100</v>
      </c>
      <c r="P32" s="4">
        <f t="shared" si="2"/>
        <v>100</v>
      </c>
      <c r="Q32" s="4">
        <f t="shared" si="2"/>
        <v>3090</v>
      </c>
      <c r="R32" s="7">
        <f>+SUM(R28:R30)</f>
        <v>100</v>
      </c>
    </row>
  </sheetData>
  <sheetProtection/>
  <printOptions horizontalCentered="1"/>
  <pageMargins left="0.5" right="0.5" top="1" bottom="1" header="0.5" footer="0.5"/>
  <pageSetup horizontalDpi="600" verticalDpi="600" orientation="landscape" r:id="rId1"/>
  <headerFooter alignWithMargins="0">
    <oddHeader>&amp;CRio Grande Bird Research, Inc.
Rosy-Finch Banding Project
2004 - 2017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29"/>
  <sheetViews>
    <sheetView view="pageLayout" workbookViewId="0" topLeftCell="A1">
      <selection activeCell="H27" sqref="H27"/>
    </sheetView>
  </sheetViews>
  <sheetFormatPr defaultColWidth="9.140625" defaultRowHeight="12.75"/>
  <cols>
    <col min="1" max="1" width="15.7109375" style="0" bestFit="1" customWidth="1"/>
  </cols>
  <sheetData>
    <row r="2" spans="1:12" ht="12.75">
      <c r="A2" s="1" t="s">
        <v>14</v>
      </c>
      <c r="B2" s="12">
        <v>42337</v>
      </c>
      <c r="C2" s="12">
        <v>42344</v>
      </c>
      <c r="D2" s="12">
        <v>42347</v>
      </c>
      <c r="E2" s="12">
        <v>42351</v>
      </c>
      <c r="F2" s="12">
        <v>42379</v>
      </c>
      <c r="G2" s="12">
        <v>42382</v>
      </c>
      <c r="H2" s="12">
        <v>42386</v>
      </c>
      <c r="I2" s="12">
        <v>42393</v>
      </c>
      <c r="J2" s="12">
        <v>42396</v>
      </c>
      <c r="K2" s="12">
        <v>42400</v>
      </c>
      <c r="L2" s="2" t="s">
        <v>3</v>
      </c>
    </row>
    <row r="3" spans="1:12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3" t="s">
        <v>1</v>
      </c>
      <c r="B4" s="3">
        <v>21</v>
      </c>
      <c r="C4" s="3">
        <v>14</v>
      </c>
      <c r="D4" s="3">
        <v>5</v>
      </c>
      <c r="E4" s="3">
        <v>6</v>
      </c>
      <c r="F4" s="3">
        <v>2</v>
      </c>
      <c r="G4" s="3">
        <v>3</v>
      </c>
      <c r="H4" s="3">
        <v>4</v>
      </c>
      <c r="I4" s="3"/>
      <c r="J4" s="3"/>
      <c r="K4" s="3">
        <v>1</v>
      </c>
      <c r="L4" s="3">
        <f>SUM(B4:K4)</f>
        <v>56</v>
      </c>
    </row>
    <row r="5" spans="1:12" ht="12.75">
      <c r="A5" s="3" t="s">
        <v>2</v>
      </c>
      <c r="B5" s="3">
        <v>2</v>
      </c>
      <c r="C5" s="3">
        <v>8</v>
      </c>
      <c r="D5" s="3">
        <v>1</v>
      </c>
      <c r="E5" s="3">
        <v>2</v>
      </c>
      <c r="F5" s="3">
        <v>5</v>
      </c>
      <c r="G5" s="3"/>
      <c r="H5" s="3">
        <v>4</v>
      </c>
      <c r="I5" s="3">
        <v>3</v>
      </c>
      <c r="J5" s="3"/>
      <c r="K5" s="3"/>
      <c r="L5" s="3">
        <f>SUM(B5:K5)</f>
        <v>25</v>
      </c>
    </row>
    <row r="6" spans="1:12" ht="12.75">
      <c r="A6" s="3" t="s">
        <v>12</v>
      </c>
      <c r="B6" s="3">
        <v>7</v>
      </c>
      <c r="C6" s="3">
        <v>20</v>
      </c>
      <c r="D6" s="3">
        <v>3</v>
      </c>
      <c r="E6" s="3">
        <v>12</v>
      </c>
      <c r="F6" s="3">
        <v>10</v>
      </c>
      <c r="G6" s="3">
        <v>4</v>
      </c>
      <c r="H6" s="3">
        <v>8</v>
      </c>
      <c r="I6" s="3">
        <v>1</v>
      </c>
      <c r="J6" s="3">
        <v>1</v>
      </c>
      <c r="K6" s="3">
        <v>3</v>
      </c>
      <c r="L6" s="3">
        <f>SUM(B6:K6)</f>
        <v>69</v>
      </c>
    </row>
    <row r="7" spans="1:12" ht="12.75">
      <c r="A7" s="3" t="s">
        <v>13</v>
      </c>
      <c r="B7" s="3">
        <v>1</v>
      </c>
      <c r="C7" s="3"/>
      <c r="D7" s="3">
        <v>1</v>
      </c>
      <c r="E7" s="3"/>
      <c r="F7" s="3">
        <v>1</v>
      </c>
      <c r="G7" s="3">
        <v>1</v>
      </c>
      <c r="H7" s="3">
        <v>5</v>
      </c>
      <c r="I7" s="3">
        <v>1</v>
      </c>
      <c r="J7" s="3"/>
      <c r="K7" s="3"/>
      <c r="L7" s="3">
        <f>SUM(B7:K7)</f>
        <v>10</v>
      </c>
    </row>
    <row r="8" spans="1:12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2.75">
      <c r="A9" s="3" t="s">
        <v>3</v>
      </c>
      <c r="B9" s="4">
        <f aca="true" t="shared" si="0" ref="B9:L9">SUM(B4:B8)</f>
        <v>31</v>
      </c>
      <c r="C9" s="4">
        <f t="shared" si="0"/>
        <v>42</v>
      </c>
      <c r="D9" s="4">
        <f t="shared" si="0"/>
        <v>10</v>
      </c>
      <c r="E9" s="4">
        <f t="shared" si="0"/>
        <v>20</v>
      </c>
      <c r="F9" s="4">
        <f t="shared" si="0"/>
        <v>18</v>
      </c>
      <c r="G9" s="4">
        <f t="shared" si="0"/>
        <v>8</v>
      </c>
      <c r="H9" s="4">
        <f t="shared" si="0"/>
        <v>21</v>
      </c>
      <c r="I9" s="4">
        <f t="shared" si="0"/>
        <v>5</v>
      </c>
      <c r="J9" s="4">
        <f t="shared" si="0"/>
        <v>1</v>
      </c>
      <c r="K9" s="4">
        <f t="shared" si="0"/>
        <v>4</v>
      </c>
      <c r="L9" s="4">
        <f t="shared" si="0"/>
        <v>160</v>
      </c>
    </row>
    <row r="12" spans="1:12" ht="12.75">
      <c r="A12" s="1" t="s">
        <v>14</v>
      </c>
      <c r="B12" s="1" t="s">
        <v>23</v>
      </c>
      <c r="C12" s="13">
        <v>42407</v>
      </c>
      <c r="D12" s="13">
        <v>42417</v>
      </c>
      <c r="E12" s="13">
        <v>42428</v>
      </c>
      <c r="F12" s="13">
        <v>42435</v>
      </c>
      <c r="G12" s="13">
        <v>42442</v>
      </c>
      <c r="H12" s="1"/>
      <c r="I12" s="1"/>
      <c r="J12" s="1"/>
      <c r="K12" s="1"/>
      <c r="L12" s="1" t="s">
        <v>3</v>
      </c>
    </row>
    <row r="13" spans="1:12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2.75">
      <c r="A14" s="3" t="s">
        <v>1</v>
      </c>
      <c r="B14" s="3">
        <f>+L4</f>
        <v>56</v>
      </c>
      <c r="C14" s="3"/>
      <c r="D14" s="3"/>
      <c r="E14" s="3"/>
      <c r="F14" s="3"/>
      <c r="G14" s="3"/>
      <c r="H14" s="3"/>
      <c r="I14" s="3"/>
      <c r="J14" s="3"/>
      <c r="K14" s="3"/>
      <c r="L14" s="3">
        <f>SUM(B14:K14)</f>
        <v>56</v>
      </c>
    </row>
    <row r="15" spans="1:12" ht="12.75">
      <c r="A15" s="3" t="s">
        <v>2</v>
      </c>
      <c r="B15" s="3">
        <f>+L5</f>
        <v>25</v>
      </c>
      <c r="C15" s="3"/>
      <c r="D15" s="3">
        <v>1</v>
      </c>
      <c r="E15" s="3">
        <v>1</v>
      </c>
      <c r="F15" s="3"/>
      <c r="G15" s="3"/>
      <c r="H15" s="3"/>
      <c r="I15" s="3"/>
      <c r="J15" s="3"/>
      <c r="K15" s="3"/>
      <c r="L15" s="3">
        <f>SUM(B15:K15)</f>
        <v>27</v>
      </c>
    </row>
    <row r="16" spans="1:12" ht="12.75">
      <c r="A16" s="3" t="s">
        <v>12</v>
      </c>
      <c r="B16" s="3">
        <f>+L6</f>
        <v>69</v>
      </c>
      <c r="C16" s="3">
        <v>2</v>
      </c>
      <c r="D16" s="3">
        <v>3</v>
      </c>
      <c r="E16" s="3">
        <v>3</v>
      </c>
      <c r="F16" s="3">
        <v>4</v>
      </c>
      <c r="G16" s="3">
        <v>1</v>
      </c>
      <c r="H16" s="3"/>
      <c r="I16" s="3"/>
      <c r="J16" s="3"/>
      <c r="K16" s="3"/>
      <c r="L16" s="3">
        <f>SUM(B16:K16)</f>
        <v>82</v>
      </c>
    </row>
    <row r="17" spans="1:12" ht="12.75">
      <c r="A17" s="3" t="s">
        <v>13</v>
      </c>
      <c r="B17" s="3">
        <f>+L7</f>
        <v>10</v>
      </c>
      <c r="C17" s="3"/>
      <c r="D17" s="3"/>
      <c r="E17" s="3"/>
      <c r="F17" s="3"/>
      <c r="G17" s="3"/>
      <c r="H17" s="3"/>
      <c r="I17" s="3"/>
      <c r="J17" s="3"/>
      <c r="K17" s="3"/>
      <c r="L17" s="3">
        <f>SUM(B17:K17)</f>
        <v>10</v>
      </c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 t="s">
        <v>3</v>
      </c>
      <c r="B19" s="4">
        <f>SUM(B14:B18)</f>
        <v>160</v>
      </c>
      <c r="C19" s="4">
        <f aca="true" t="shared" si="1" ref="C19:L19">SUM(C14:C18)</f>
        <v>2</v>
      </c>
      <c r="D19" s="4">
        <f t="shared" si="1"/>
        <v>4</v>
      </c>
      <c r="E19" s="4">
        <f t="shared" si="1"/>
        <v>4</v>
      </c>
      <c r="F19" s="4">
        <f t="shared" si="1"/>
        <v>4</v>
      </c>
      <c r="G19" s="4">
        <f t="shared" si="1"/>
        <v>1</v>
      </c>
      <c r="H19" s="4">
        <f t="shared" si="1"/>
        <v>0</v>
      </c>
      <c r="I19" s="4">
        <f t="shared" si="1"/>
        <v>0</v>
      </c>
      <c r="J19" s="4">
        <f t="shared" si="1"/>
        <v>0</v>
      </c>
      <c r="K19" s="4">
        <f t="shared" si="1"/>
        <v>0</v>
      </c>
      <c r="L19" s="4">
        <f t="shared" si="1"/>
        <v>175</v>
      </c>
    </row>
    <row r="27" ht="12.75">
      <c r="H27" s="22" t="s">
        <v>11</v>
      </c>
    </row>
    <row r="28" ht="12.75">
      <c r="H28" s="22" t="s">
        <v>11</v>
      </c>
    </row>
    <row r="29" ht="12.75">
      <c r="H29" s="22" t="s">
        <v>11</v>
      </c>
    </row>
  </sheetData>
  <sheetProtection/>
  <printOptions/>
  <pageMargins left="0.7" right="0.7" top="0.75" bottom="0.75" header="0.3" footer="0.3"/>
  <pageSetup horizontalDpi="600" verticalDpi="600" orientation="landscape" r:id="rId1"/>
  <headerFooter alignWithMargins="0">
    <oddHeader>&amp;CRosy-Finch Banding Results
Winter 2015/2016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view="pageLayout" workbookViewId="0" topLeftCell="A1">
      <selection activeCell="D16" sqref="D16"/>
    </sheetView>
  </sheetViews>
  <sheetFormatPr defaultColWidth="9.140625" defaultRowHeight="12.75"/>
  <cols>
    <col min="1" max="1" width="15.7109375" style="0" bestFit="1" customWidth="1"/>
    <col min="2" max="2" width="8.28125" style="0" bestFit="1" customWidth="1"/>
    <col min="3" max="3" width="7.00390625" style="0" bestFit="1" customWidth="1"/>
    <col min="4" max="6" width="6.7109375" style="0" bestFit="1" customWidth="1"/>
    <col min="12" max="12" width="5.7109375" style="0" bestFit="1" customWidth="1"/>
    <col min="13" max="13" width="6.57421875" style="0" bestFit="1" customWidth="1"/>
  </cols>
  <sheetData>
    <row r="1" spans="1:13" ht="25.5">
      <c r="A1" s="1" t="s">
        <v>14</v>
      </c>
      <c r="B1" s="12">
        <v>42708</v>
      </c>
      <c r="C1" s="12">
        <v>42715</v>
      </c>
      <c r="D1" s="12">
        <v>42764</v>
      </c>
      <c r="E1" s="12">
        <v>42771</v>
      </c>
      <c r="F1" s="12">
        <v>42778</v>
      </c>
      <c r="G1" s="12">
        <v>42784</v>
      </c>
      <c r="H1" s="12">
        <v>42785</v>
      </c>
      <c r="I1" s="12">
        <v>42786</v>
      </c>
      <c r="J1" s="12">
        <v>42792</v>
      </c>
      <c r="K1" s="12">
        <v>42799</v>
      </c>
      <c r="L1" s="16" t="s">
        <v>3</v>
      </c>
      <c r="M1" s="20" t="s">
        <v>25</v>
      </c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7"/>
      <c r="M2" s="3"/>
    </row>
    <row r="3" spans="1:13" ht="12.75">
      <c r="A3" s="3" t="s">
        <v>1</v>
      </c>
      <c r="B3" s="3">
        <v>3</v>
      </c>
      <c r="C3" s="3">
        <v>10</v>
      </c>
      <c r="D3" s="3">
        <v>8</v>
      </c>
      <c r="E3" s="3">
        <v>4</v>
      </c>
      <c r="F3" s="3">
        <v>5</v>
      </c>
      <c r="G3" s="3"/>
      <c r="H3" s="3">
        <v>2</v>
      </c>
      <c r="I3" s="3">
        <v>1</v>
      </c>
      <c r="J3" s="3"/>
      <c r="K3" s="3"/>
      <c r="L3" s="17">
        <f>SUM(B3:K3)</f>
        <v>33</v>
      </c>
      <c r="M3" s="6">
        <f>+L3/L8*100</f>
        <v>13.580246913580247</v>
      </c>
    </row>
    <row r="4" spans="1:13" ht="12.75">
      <c r="A4" s="3" t="s">
        <v>2</v>
      </c>
      <c r="B4" s="3">
        <v>3</v>
      </c>
      <c r="C4" s="3">
        <v>12</v>
      </c>
      <c r="D4" s="3">
        <v>66</v>
      </c>
      <c r="E4" s="3">
        <v>54</v>
      </c>
      <c r="F4" s="3">
        <v>25</v>
      </c>
      <c r="G4" s="3">
        <v>9</v>
      </c>
      <c r="H4" s="3">
        <v>7</v>
      </c>
      <c r="I4" s="3">
        <v>8</v>
      </c>
      <c r="J4" s="3">
        <v>10</v>
      </c>
      <c r="K4" s="3">
        <v>2</v>
      </c>
      <c r="L4" s="17">
        <f>SUM(B4:K4)</f>
        <v>196</v>
      </c>
      <c r="M4" s="6">
        <f>+L4/L8*100</f>
        <v>80.65843621399176</v>
      </c>
    </row>
    <row r="5" spans="1:13" ht="12.75">
      <c r="A5" s="3" t="s">
        <v>12</v>
      </c>
      <c r="B5" s="3">
        <v>1</v>
      </c>
      <c r="C5" s="3">
        <v>3</v>
      </c>
      <c r="D5" s="3">
        <v>3</v>
      </c>
      <c r="E5" s="3">
        <v>2</v>
      </c>
      <c r="F5" s="3"/>
      <c r="G5" s="3"/>
      <c r="H5" s="3">
        <v>1</v>
      </c>
      <c r="I5" s="3"/>
      <c r="J5" s="3"/>
      <c r="K5" s="3">
        <v>1</v>
      </c>
      <c r="L5" s="17">
        <f>SUM(B5:K5)</f>
        <v>11</v>
      </c>
      <c r="M5" s="6">
        <f>+L5/L8*100</f>
        <v>4.526748971193416</v>
      </c>
    </row>
    <row r="6" spans="1:13" ht="12.75">
      <c r="A6" s="3" t="s">
        <v>13</v>
      </c>
      <c r="B6" s="3" t="s">
        <v>11</v>
      </c>
      <c r="C6" s="3">
        <v>1</v>
      </c>
      <c r="D6" s="3"/>
      <c r="E6" s="3">
        <v>2</v>
      </c>
      <c r="F6" s="3"/>
      <c r="G6" s="3"/>
      <c r="H6" s="3"/>
      <c r="I6" s="3"/>
      <c r="J6" s="3"/>
      <c r="K6" s="3"/>
      <c r="L6" s="17">
        <f>SUM(B6:K6)</f>
        <v>3</v>
      </c>
      <c r="M6" s="6">
        <f>+L6/L8*100</f>
        <v>1.2345679012345678</v>
      </c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17"/>
      <c r="M7" s="3"/>
    </row>
    <row r="8" spans="1:13" ht="12.75">
      <c r="A8" s="3" t="s">
        <v>3</v>
      </c>
      <c r="B8" s="4">
        <f aca="true" t="shared" si="0" ref="B8:M8">SUM(B3:B7)</f>
        <v>7</v>
      </c>
      <c r="C8" s="4">
        <f t="shared" si="0"/>
        <v>26</v>
      </c>
      <c r="D8" s="4">
        <f t="shared" si="0"/>
        <v>77</v>
      </c>
      <c r="E8" s="4">
        <f t="shared" si="0"/>
        <v>62</v>
      </c>
      <c r="F8" s="4">
        <f t="shared" si="0"/>
        <v>30</v>
      </c>
      <c r="G8" s="4">
        <f t="shared" si="0"/>
        <v>9</v>
      </c>
      <c r="H8" s="4">
        <f t="shared" si="0"/>
        <v>10</v>
      </c>
      <c r="I8" s="4">
        <f t="shared" si="0"/>
        <v>9</v>
      </c>
      <c r="J8" s="4">
        <f>SUM(J3:J7)</f>
        <v>10</v>
      </c>
      <c r="K8" s="4">
        <f>SUM(K3:K7)</f>
        <v>3</v>
      </c>
      <c r="L8" s="18">
        <f t="shared" si="0"/>
        <v>243</v>
      </c>
      <c r="M8" s="4">
        <f t="shared" si="0"/>
        <v>100</v>
      </c>
    </row>
    <row r="9" ht="12.75">
      <c r="M9" s="21"/>
    </row>
    <row r="10" ht="12.75">
      <c r="M10" s="21"/>
    </row>
    <row r="11" spans="1:13" ht="12.75">
      <c r="A11" s="1" t="s">
        <v>14</v>
      </c>
      <c r="B11" s="1" t="s">
        <v>23</v>
      </c>
      <c r="C11" s="13">
        <v>42806</v>
      </c>
      <c r="D11" s="13" t="s">
        <v>11</v>
      </c>
      <c r="E11" s="13" t="s">
        <v>11</v>
      </c>
      <c r="F11" s="1"/>
      <c r="G11" s="1"/>
      <c r="H11" s="1"/>
      <c r="I11" s="1"/>
      <c r="J11" s="1"/>
      <c r="K11" s="1"/>
      <c r="L11" s="19" t="s">
        <v>3</v>
      </c>
      <c r="M11" s="1" t="s">
        <v>25</v>
      </c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17"/>
      <c r="M12" s="3"/>
    </row>
    <row r="13" spans="1:13" ht="12.75">
      <c r="A13" s="3" t="s">
        <v>1</v>
      </c>
      <c r="B13" s="3">
        <f>+L3</f>
        <v>33</v>
      </c>
      <c r="C13" s="3"/>
      <c r="D13" s="3"/>
      <c r="E13" s="3"/>
      <c r="F13" s="3"/>
      <c r="G13" s="3"/>
      <c r="H13" s="3"/>
      <c r="I13" s="3"/>
      <c r="J13" s="3"/>
      <c r="K13" s="3"/>
      <c r="L13" s="17">
        <f>SUM(B13:K13)</f>
        <v>33</v>
      </c>
      <c r="M13" s="6">
        <f>+L13/L18*100</f>
        <v>13.524590163934427</v>
      </c>
    </row>
    <row r="14" spans="1:13" ht="12.75">
      <c r="A14" s="3" t="s">
        <v>2</v>
      </c>
      <c r="B14" s="3">
        <f>+L4</f>
        <v>196</v>
      </c>
      <c r="C14" s="3">
        <v>1</v>
      </c>
      <c r="D14" s="3"/>
      <c r="E14" s="3"/>
      <c r="F14" s="3"/>
      <c r="G14" s="3"/>
      <c r="H14" s="3"/>
      <c r="I14" s="3"/>
      <c r="J14" s="3"/>
      <c r="K14" s="3"/>
      <c r="L14" s="17">
        <f>SUM(B14:K14)</f>
        <v>197</v>
      </c>
      <c r="M14" s="6">
        <f>+L14/L18*100</f>
        <v>80.73770491803278</v>
      </c>
    </row>
    <row r="15" spans="1:14" ht="12.75">
      <c r="A15" s="3" t="s">
        <v>12</v>
      </c>
      <c r="B15" s="3">
        <f>+L5</f>
        <v>11</v>
      </c>
      <c r="C15" s="3"/>
      <c r="D15" s="3"/>
      <c r="E15" s="3"/>
      <c r="F15" s="3"/>
      <c r="G15" s="3"/>
      <c r="H15" s="3"/>
      <c r="I15" s="3"/>
      <c r="J15" s="3"/>
      <c r="K15" s="3"/>
      <c r="L15" s="17">
        <f>SUM(B15:K15)</f>
        <v>11</v>
      </c>
      <c r="M15" s="6">
        <f>+L15/L18*100</f>
        <v>4.508196721311475</v>
      </c>
      <c r="N15" s="15">
        <f>13/240*100</f>
        <v>5.416666666666667</v>
      </c>
    </row>
    <row r="16" spans="1:13" ht="12.75">
      <c r="A16" s="3" t="s">
        <v>13</v>
      </c>
      <c r="B16" s="3">
        <f>+L6</f>
        <v>3</v>
      </c>
      <c r="C16" s="3"/>
      <c r="D16" s="3"/>
      <c r="E16" s="3"/>
      <c r="F16" s="3"/>
      <c r="G16" s="3"/>
      <c r="H16" s="3"/>
      <c r="I16" s="3"/>
      <c r="J16" s="3"/>
      <c r="K16" s="3"/>
      <c r="L16" s="17">
        <f>SUM(B16:K16)</f>
        <v>3</v>
      </c>
      <c r="M16" s="6">
        <f>+L16/L18*100</f>
        <v>1.2295081967213115</v>
      </c>
    </row>
    <row r="17" spans="1:13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17"/>
      <c r="M17" s="6"/>
    </row>
    <row r="18" spans="1:13" ht="12.75">
      <c r="A18" s="3" t="s">
        <v>3</v>
      </c>
      <c r="B18" s="4">
        <f>SUM(B13:B17)</f>
        <v>243</v>
      </c>
      <c r="C18" s="4">
        <f aca="true" t="shared" si="1" ref="C18:M18">SUM(C13:C17)</f>
        <v>1</v>
      </c>
      <c r="D18" s="4">
        <f t="shared" si="1"/>
        <v>0</v>
      </c>
      <c r="E18" s="4">
        <f t="shared" si="1"/>
        <v>0</v>
      </c>
      <c r="F18" s="4">
        <f t="shared" si="1"/>
        <v>0</v>
      </c>
      <c r="G18" s="4">
        <f t="shared" si="1"/>
        <v>0</v>
      </c>
      <c r="H18" s="4">
        <f t="shared" si="1"/>
        <v>0</v>
      </c>
      <c r="I18" s="4">
        <f t="shared" si="1"/>
        <v>0</v>
      </c>
      <c r="J18" s="4">
        <f t="shared" si="1"/>
        <v>0</v>
      </c>
      <c r="K18" s="4">
        <f t="shared" si="1"/>
        <v>0</v>
      </c>
      <c r="L18" s="18">
        <f t="shared" si="1"/>
        <v>244</v>
      </c>
      <c r="M18" s="7">
        <f t="shared" si="1"/>
        <v>100</v>
      </c>
    </row>
    <row r="23" ht="12.75">
      <c r="H23" s="22" t="s">
        <v>11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&amp;CRosy-Finch data
Winter 2016/2017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15.7109375" style="0" bestFit="1" customWidth="1"/>
  </cols>
  <sheetData>
    <row r="1" spans="1:13" ht="12.75">
      <c r="A1" s="1" t="s">
        <v>14</v>
      </c>
      <c r="B1" s="12">
        <v>43072</v>
      </c>
      <c r="C1" s="12">
        <v>43107</v>
      </c>
      <c r="D1" s="12">
        <v>43114</v>
      </c>
      <c r="E1" s="12">
        <v>43128</v>
      </c>
      <c r="F1" s="12">
        <v>43135</v>
      </c>
      <c r="G1" s="12">
        <v>43142</v>
      </c>
      <c r="H1" s="12">
        <v>43149</v>
      </c>
      <c r="I1" s="12">
        <v>43156</v>
      </c>
      <c r="J1" s="12">
        <v>43163</v>
      </c>
      <c r="K1" s="12">
        <v>43170</v>
      </c>
      <c r="L1" s="16" t="s">
        <v>3</v>
      </c>
      <c r="M1" s="20" t="s">
        <v>25</v>
      </c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7"/>
      <c r="M2" s="3"/>
    </row>
    <row r="3" spans="1:13" ht="12.75">
      <c r="A3" s="3" t="s">
        <v>1</v>
      </c>
      <c r="B3" s="3">
        <v>31</v>
      </c>
      <c r="C3" s="3">
        <v>22</v>
      </c>
      <c r="D3" s="3">
        <v>31</v>
      </c>
      <c r="E3" s="3">
        <v>6</v>
      </c>
      <c r="F3" s="3">
        <v>1</v>
      </c>
      <c r="G3" s="3">
        <v>5</v>
      </c>
      <c r="H3" s="3">
        <v>3</v>
      </c>
      <c r="I3" s="3">
        <v>2</v>
      </c>
      <c r="J3" s="3">
        <v>1</v>
      </c>
      <c r="K3" s="3">
        <v>2</v>
      </c>
      <c r="L3" s="17">
        <f>SUM(B3:K3)</f>
        <v>104</v>
      </c>
      <c r="M3" s="6">
        <f>+L3/L8*100</f>
        <v>67.0967741935484</v>
      </c>
    </row>
    <row r="4" spans="1:13" ht="12.75">
      <c r="A4" s="3" t="s">
        <v>2</v>
      </c>
      <c r="B4" s="3">
        <v>6</v>
      </c>
      <c r="C4" s="3">
        <v>15</v>
      </c>
      <c r="D4" s="3">
        <v>6</v>
      </c>
      <c r="E4" s="3">
        <v>1</v>
      </c>
      <c r="F4" s="3">
        <v>1</v>
      </c>
      <c r="G4" s="3">
        <v>1</v>
      </c>
      <c r="H4" s="3">
        <v>3</v>
      </c>
      <c r="I4" s="3">
        <v>1</v>
      </c>
      <c r="J4" s="3"/>
      <c r="K4" s="3"/>
      <c r="L4" s="17">
        <f>SUM(B4:K4)</f>
        <v>34</v>
      </c>
      <c r="M4" s="6">
        <f>+L4/L8*100</f>
        <v>21.935483870967744</v>
      </c>
    </row>
    <row r="5" spans="1:13" ht="12.75">
      <c r="A5" s="3" t="s">
        <v>12</v>
      </c>
      <c r="B5" s="3">
        <v>1</v>
      </c>
      <c r="C5" s="3">
        <v>6</v>
      </c>
      <c r="D5" s="3">
        <v>1</v>
      </c>
      <c r="E5" s="3">
        <v>2</v>
      </c>
      <c r="F5" s="3"/>
      <c r="G5" s="3"/>
      <c r="H5" s="3">
        <v>1</v>
      </c>
      <c r="I5" s="3">
        <v>2</v>
      </c>
      <c r="J5" s="3"/>
      <c r="K5" s="3"/>
      <c r="L5" s="17">
        <f>SUM(B5:K5)</f>
        <v>13</v>
      </c>
      <c r="M5" s="6">
        <f>+L5/L8*100</f>
        <v>8.38709677419355</v>
      </c>
    </row>
    <row r="6" spans="1:13" ht="12.75">
      <c r="A6" s="3" t="s">
        <v>13</v>
      </c>
      <c r="B6" s="3">
        <v>1</v>
      </c>
      <c r="C6" s="3"/>
      <c r="D6" s="3">
        <v>1</v>
      </c>
      <c r="E6" s="3"/>
      <c r="F6" s="3">
        <v>2</v>
      </c>
      <c r="G6" s="3"/>
      <c r="H6" s="3"/>
      <c r="I6" s="3"/>
      <c r="J6" s="3"/>
      <c r="K6" s="3"/>
      <c r="L6" s="17">
        <f>SUM(B6:K6)</f>
        <v>4</v>
      </c>
      <c r="M6" s="6">
        <f>+L6/L8*100</f>
        <v>2.5806451612903225</v>
      </c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17"/>
      <c r="M7" s="3"/>
    </row>
    <row r="8" spans="1:13" ht="12.75">
      <c r="A8" s="3" t="s">
        <v>3</v>
      </c>
      <c r="B8" s="4">
        <f aca="true" t="shared" si="0" ref="B8:M8">SUM(B3:B7)</f>
        <v>39</v>
      </c>
      <c r="C8" s="4">
        <f t="shared" si="0"/>
        <v>43</v>
      </c>
      <c r="D8" s="4">
        <f t="shared" si="0"/>
        <v>39</v>
      </c>
      <c r="E8" s="4">
        <f t="shared" si="0"/>
        <v>9</v>
      </c>
      <c r="F8" s="4">
        <f t="shared" si="0"/>
        <v>4</v>
      </c>
      <c r="G8" s="4">
        <f t="shared" si="0"/>
        <v>6</v>
      </c>
      <c r="H8" s="4">
        <f t="shared" si="0"/>
        <v>7</v>
      </c>
      <c r="I8" s="4">
        <f t="shared" si="0"/>
        <v>5</v>
      </c>
      <c r="J8" s="4">
        <f>SUM(J3:J7)</f>
        <v>1</v>
      </c>
      <c r="K8" s="4">
        <f>SUM(K3:K7)</f>
        <v>2</v>
      </c>
      <c r="L8" s="18">
        <f t="shared" si="0"/>
        <v>155</v>
      </c>
      <c r="M8" s="4">
        <f t="shared" si="0"/>
        <v>100.00000000000001</v>
      </c>
    </row>
    <row r="9" ht="12.75">
      <c r="M9" s="21"/>
    </row>
    <row r="10" ht="12.75">
      <c r="M10" s="21"/>
    </row>
    <row r="11" spans="1:13" ht="12.75">
      <c r="A11" s="1" t="s">
        <v>14</v>
      </c>
      <c r="B11" s="1" t="s">
        <v>23</v>
      </c>
      <c r="C11" s="13">
        <v>43177</v>
      </c>
      <c r="D11" s="13">
        <v>43184</v>
      </c>
      <c r="E11" s="13" t="s">
        <v>11</v>
      </c>
      <c r="F11" s="1"/>
      <c r="G11" s="1"/>
      <c r="H11" s="1"/>
      <c r="I11" s="1"/>
      <c r="J11" s="1"/>
      <c r="K11" s="1"/>
      <c r="L11" s="19" t="s">
        <v>3</v>
      </c>
      <c r="M11" s="1" t="s">
        <v>25</v>
      </c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17"/>
      <c r="M12" s="3"/>
    </row>
    <row r="13" spans="1:13" ht="12.75">
      <c r="A13" s="3" t="s">
        <v>1</v>
      </c>
      <c r="B13" s="3">
        <f>+L3</f>
        <v>104</v>
      </c>
      <c r="C13" s="3">
        <v>1</v>
      </c>
      <c r="D13" s="3">
        <v>1</v>
      </c>
      <c r="E13" s="3"/>
      <c r="F13" s="3"/>
      <c r="G13" s="3"/>
      <c r="H13" s="3"/>
      <c r="I13" s="3"/>
      <c r="J13" s="3"/>
      <c r="K13" s="3"/>
      <c r="L13" s="17">
        <f>SUM(B13:K13)</f>
        <v>106</v>
      </c>
      <c r="M13" s="6">
        <f>+L13/L18*100</f>
        <v>66.66666666666666</v>
      </c>
    </row>
    <row r="14" spans="1:13" ht="12.75">
      <c r="A14" s="3" t="s">
        <v>2</v>
      </c>
      <c r="B14" s="3">
        <f>+L4</f>
        <v>34</v>
      </c>
      <c r="C14" s="3"/>
      <c r="D14" s="3"/>
      <c r="E14" s="3"/>
      <c r="F14" s="3"/>
      <c r="G14" s="3"/>
      <c r="H14" s="3"/>
      <c r="I14" s="3"/>
      <c r="J14" s="3"/>
      <c r="K14" s="3"/>
      <c r="L14" s="17">
        <f>SUM(B14:K14)</f>
        <v>34</v>
      </c>
      <c r="M14" s="6">
        <f>+L14/L18*100</f>
        <v>21.38364779874214</v>
      </c>
    </row>
    <row r="15" spans="1:13" ht="12.75">
      <c r="A15" s="3" t="s">
        <v>12</v>
      </c>
      <c r="B15" s="3">
        <f>+L5</f>
        <v>13</v>
      </c>
      <c r="C15" s="3">
        <v>2</v>
      </c>
      <c r="D15" s="3"/>
      <c r="E15" s="3"/>
      <c r="F15" s="3"/>
      <c r="G15" s="3"/>
      <c r="H15" s="3"/>
      <c r="I15" s="3"/>
      <c r="J15" s="3"/>
      <c r="K15" s="3"/>
      <c r="L15" s="17">
        <f>SUM(B15:K15)</f>
        <v>15</v>
      </c>
      <c r="M15" s="6">
        <f>+L15/L18*100</f>
        <v>9.433962264150944</v>
      </c>
    </row>
    <row r="16" spans="1:13" ht="12.75">
      <c r="A16" s="3" t="s">
        <v>13</v>
      </c>
      <c r="B16" s="3">
        <f>+L6</f>
        <v>4</v>
      </c>
      <c r="C16" s="3"/>
      <c r="D16" s="3"/>
      <c r="E16" s="3"/>
      <c r="F16" s="3"/>
      <c r="G16" s="3"/>
      <c r="H16" s="3"/>
      <c r="I16" s="3"/>
      <c r="J16" s="3"/>
      <c r="K16" s="3"/>
      <c r="L16" s="17">
        <f>SUM(B16:K16)</f>
        <v>4</v>
      </c>
      <c r="M16" s="6">
        <f>+L16/L18*100</f>
        <v>2.515723270440252</v>
      </c>
    </row>
    <row r="17" spans="1:13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17"/>
      <c r="M17" s="6"/>
    </row>
    <row r="18" spans="1:13" ht="12.75">
      <c r="A18" s="3" t="s">
        <v>3</v>
      </c>
      <c r="B18" s="4">
        <f>SUM(B13:B17)</f>
        <v>155</v>
      </c>
      <c r="C18" s="4">
        <f aca="true" t="shared" si="1" ref="C18:M18">SUM(C13:C17)</f>
        <v>3</v>
      </c>
      <c r="D18" s="4">
        <f t="shared" si="1"/>
        <v>1</v>
      </c>
      <c r="E18" s="4">
        <f t="shared" si="1"/>
        <v>0</v>
      </c>
      <c r="F18" s="4">
        <f t="shared" si="1"/>
        <v>0</v>
      </c>
      <c r="G18" s="4">
        <f t="shared" si="1"/>
        <v>0</v>
      </c>
      <c r="H18" s="4">
        <f t="shared" si="1"/>
        <v>0</v>
      </c>
      <c r="I18" s="4">
        <f t="shared" si="1"/>
        <v>0</v>
      </c>
      <c r="J18" s="4">
        <f t="shared" si="1"/>
        <v>0</v>
      </c>
      <c r="K18" s="4">
        <f t="shared" si="1"/>
        <v>0</v>
      </c>
      <c r="L18" s="18">
        <f t="shared" si="1"/>
        <v>159</v>
      </c>
      <c r="M18" s="7">
        <f t="shared" si="1"/>
        <v>100</v>
      </c>
    </row>
    <row r="29" ht="12.75">
      <c r="F29" t="s">
        <v>11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Norman Quackenbush</dc:creator>
  <cp:keywords/>
  <dc:description/>
  <cp:lastModifiedBy>Kenneth Schneider</cp:lastModifiedBy>
  <cp:lastPrinted>2018-03-25T14:49:01Z</cp:lastPrinted>
  <dcterms:created xsi:type="dcterms:W3CDTF">2010-12-07T15:33:25Z</dcterms:created>
  <dcterms:modified xsi:type="dcterms:W3CDTF">2018-04-19T18:26:16Z</dcterms:modified>
  <cp:category/>
  <cp:version/>
  <cp:contentType/>
  <cp:contentStatus/>
</cp:coreProperties>
</file>